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91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4" i="1" l="1"/>
  <c r="C94" i="1"/>
  <c r="C93" i="1"/>
  <c r="C90" i="1" s="1"/>
  <c r="C92" i="1"/>
  <c r="D91" i="1"/>
  <c r="C91" i="1"/>
  <c r="D90" i="1"/>
  <c r="D96" i="1" s="1"/>
  <c r="D89" i="1"/>
  <c r="C89" i="1"/>
  <c r="D87" i="1"/>
  <c r="C87" i="1"/>
  <c r="D86" i="1"/>
  <c r="C86" i="1"/>
  <c r="C7" i="1"/>
  <c r="D74" i="1"/>
  <c r="D72" i="1"/>
  <c r="C69" i="1"/>
  <c r="D19" i="1"/>
  <c r="D46" i="1"/>
  <c r="D67" i="1"/>
  <c r="D66" i="1"/>
  <c r="C96" i="1" l="1"/>
  <c r="C97" i="1" s="1"/>
  <c r="D13" i="1"/>
  <c r="D24" i="1"/>
  <c r="D57" i="1"/>
  <c r="D58" i="1"/>
  <c r="D62" i="1"/>
  <c r="D61" i="1"/>
  <c r="D68" i="1"/>
  <c r="D65" i="1"/>
  <c r="D63" i="1"/>
  <c r="D55" i="1"/>
  <c r="D45" i="1"/>
  <c r="D44" i="1" s="1"/>
  <c r="D25" i="1"/>
  <c r="D22" i="1"/>
  <c r="D21" i="1"/>
  <c r="D20" i="1"/>
  <c r="D17" i="1"/>
  <c r="D16" i="1"/>
  <c r="D15" i="1"/>
  <c r="D14" i="1"/>
  <c r="D23" i="1" l="1"/>
  <c r="D56" i="1"/>
  <c r="D18" i="1"/>
  <c r="D12" i="1"/>
  <c r="D60" i="1" l="1"/>
  <c r="D59" i="1"/>
  <c r="D69" i="1" l="1"/>
  <c r="D70" i="1" l="1"/>
  <c r="C72" i="1"/>
</calcChain>
</file>

<file path=xl/sharedStrings.xml><?xml version="1.0" encoding="utf-8"?>
<sst xmlns="http://schemas.openxmlformats.org/spreadsheetml/2006/main" count="202" uniqueCount="147">
  <si>
    <t>№</t>
  </si>
  <si>
    <t>Показатели затрат</t>
  </si>
  <si>
    <t>Натуральные показатели</t>
  </si>
  <si>
    <t>1.1.</t>
  </si>
  <si>
    <t>1.2.</t>
  </si>
  <si>
    <t>2.</t>
  </si>
  <si>
    <t>Техническое обслуживание общих коммуникаций, технических устройств и конструктивных элементов</t>
  </si>
  <si>
    <t>2.1.</t>
  </si>
  <si>
    <t>Материалы и специнвентарь</t>
  </si>
  <si>
    <t>Аварийно-ремонтное обслуживание и выполнение заявок населения</t>
  </si>
  <si>
    <t>3.1.</t>
  </si>
  <si>
    <t>Материалы и спец.инструмент</t>
  </si>
  <si>
    <t>Содержание дворовой территории</t>
  </si>
  <si>
    <t>4.1.</t>
  </si>
  <si>
    <t>5.</t>
  </si>
  <si>
    <t>Содержание лестничных клеток</t>
  </si>
  <si>
    <t>5.1.</t>
  </si>
  <si>
    <t>Инвентарь материалы</t>
  </si>
  <si>
    <t>6.</t>
  </si>
  <si>
    <t>Дератизация  подвального помещения</t>
  </si>
  <si>
    <t>Управление многоквартирным домом</t>
  </si>
  <si>
    <t>Сброс снега</t>
  </si>
  <si>
    <t>Автоуслуги по очистке  территории</t>
  </si>
  <si>
    <t>Автоуслуги по вывозу снега</t>
  </si>
  <si>
    <t>Автоуслуги по вывозу КГО</t>
  </si>
  <si>
    <t>ИТОГО по текущему содержанию</t>
  </si>
  <si>
    <t>II</t>
  </si>
  <si>
    <t>Другие услуги</t>
  </si>
  <si>
    <t>Вывоз и утилизация отходов (ТБО)</t>
  </si>
  <si>
    <t>Вознаграждение уполномоченного лица</t>
  </si>
  <si>
    <t xml:space="preserve">7. </t>
  </si>
  <si>
    <t>Расходы на оплату труда (вкл. социальные отчисления)</t>
  </si>
  <si>
    <t>I.                    Текущее содержание</t>
  </si>
  <si>
    <t>Текущее содержание</t>
  </si>
  <si>
    <t>Коммунальные услуги</t>
  </si>
  <si>
    <t>Статьи услуг</t>
  </si>
  <si>
    <t>ИТОГО</t>
  </si>
  <si>
    <t>Долг за жилым домом</t>
  </si>
  <si>
    <t>Наименования доходной статьи</t>
  </si>
  <si>
    <t>Оплачено</t>
  </si>
  <si>
    <t>4.2.</t>
  </si>
  <si>
    <t>5.2.</t>
  </si>
  <si>
    <t>2.2.</t>
  </si>
  <si>
    <t>3.2.</t>
  </si>
  <si>
    <t>8.</t>
  </si>
  <si>
    <t>9.</t>
  </si>
  <si>
    <t>10.</t>
  </si>
  <si>
    <t>11.</t>
  </si>
  <si>
    <t>12.</t>
  </si>
  <si>
    <t>1.</t>
  </si>
  <si>
    <t>3.</t>
  </si>
  <si>
    <t>Обслуживание лифтов</t>
  </si>
  <si>
    <t>7.1.</t>
  </si>
  <si>
    <t>7.2.</t>
  </si>
  <si>
    <t>2.3.</t>
  </si>
  <si>
    <t>Обслуживание пожарной автоматики</t>
  </si>
  <si>
    <t>3.3.</t>
  </si>
  <si>
    <t>Услуги связи</t>
  </si>
  <si>
    <t>Вознаграждение уполномоченного лица (озеленение)</t>
  </si>
  <si>
    <t>2.5.</t>
  </si>
  <si>
    <t>Тариф на 1 кв.м.</t>
  </si>
  <si>
    <t>Оплачено на 31.01.2012 г</t>
  </si>
  <si>
    <t>Изготовление инф.щитов и указателей</t>
  </si>
  <si>
    <t>Начислено за 2011 г</t>
  </si>
  <si>
    <t>Почтовые и судебные расходы (по задолженности)</t>
  </si>
  <si>
    <t>Отопление</t>
  </si>
  <si>
    <t>Холодная вода</t>
  </si>
  <si>
    <t>Горячая вода</t>
  </si>
  <si>
    <t>Электроэнергия по жилым помещениям</t>
  </si>
  <si>
    <t>Электроэнергия по МОП</t>
  </si>
  <si>
    <t>Доходы от аренды конструктивных элементов жилого здания</t>
  </si>
  <si>
    <t>Выставлено по счетам</t>
  </si>
  <si>
    <t>по состоянию на 31.12.2011 г</t>
  </si>
  <si>
    <t>Площадь жилых помещений</t>
  </si>
  <si>
    <t>Общая площадь</t>
  </si>
  <si>
    <t>1.3.</t>
  </si>
  <si>
    <t>1.5.</t>
  </si>
  <si>
    <t>1.6.</t>
  </si>
  <si>
    <t>Количество квартир</t>
  </si>
  <si>
    <t>Количество лифтов</t>
  </si>
  <si>
    <t>Обслуживание тепловых узлов</t>
  </si>
  <si>
    <t>Плановые затраты на 2011 г</t>
  </si>
  <si>
    <t>Фактические затраты за 2011 г</t>
  </si>
  <si>
    <t>ежемесячно</t>
  </si>
  <si>
    <t>1 раз в год</t>
  </si>
  <si>
    <t>ведение лицевых счетов</t>
  </si>
  <si>
    <t>работа по просроченной задолженности</t>
  </si>
  <si>
    <t>ведение учета подомовых затрат</t>
  </si>
  <si>
    <t>заключение договоров с собственниками помещений</t>
  </si>
  <si>
    <t xml:space="preserve">влажное подметание лестничных площадок и маршей нижних 2-х этажей </t>
  </si>
  <si>
    <t>влажное подметание лестничных площадок и маршей выше 2-го этажа</t>
  </si>
  <si>
    <t>мытье лестничных площадок и маршей выше 2-го этажа</t>
  </si>
  <si>
    <t>мытье лестничных площадок и маршей ниже 2-го этажа</t>
  </si>
  <si>
    <t>влажная протирка пыли с подоконников, перил,почтовых ящиков,</t>
  </si>
  <si>
    <t>мытье пола кабин лифта</t>
  </si>
  <si>
    <t>протирка стен лифтовых кабин,шахтных дверей</t>
  </si>
  <si>
    <t xml:space="preserve">Генеральная уборка (мытьё окон, панелей, обметание пыли с потолков) </t>
  </si>
  <si>
    <t>5 раз в неделю</t>
  </si>
  <si>
    <t>2 раза в неделю</t>
  </si>
  <si>
    <t>1 раз в месяц</t>
  </si>
  <si>
    <t>2 раза в месяц</t>
  </si>
  <si>
    <t>летний период</t>
  </si>
  <si>
    <t>подметание территорий с усовершенствованным покрытием</t>
  </si>
  <si>
    <t>уборка газонов от случайного мусора и листвы</t>
  </si>
  <si>
    <t>уборка мусора на контейнерной площадке</t>
  </si>
  <si>
    <t>подметание территорий без покрытий</t>
  </si>
  <si>
    <t>очистка урн от мусора</t>
  </si>
  <si>
    <t>мойка територии с усовершенствованным покрытием</t>
  </si>
  <si>
    <t>полив газона из шланга</t>
  </si>
  <si>
    <t>стрижка газонов</t>
  </si>
  <si>
    <t>зимний период</t>
  </si>
  <si>
    <t xml:space="preserve"> </t>
  </si>
  <si>
    <t>подметание свежевыпавшего снега толщиной слоя до  2 см. с территорий</t>
  </si>
  <si>
    <t>сдвигание свежевыпавшего снега (во время снегопада)</t>
  </si>
  <si>
    <t>перекидывание снега и скола</t>
  </si>
  <si>
    <t>посыпка песком территорий ( в период гололеда)</t>
  </si>
  <si>
    <t xml:space="preserve">очистка от уплотнённого снега территорий с усовершенствованным покрытием </t>
  </si>
  <si>
    <t>6 раз в неделю</t>
  </si>
  <si>
    <t>1 раз в 2-е сут.</t>
  </si>
  <si>
    <t>1 раз в сутки</t>
  </si>
  <si>
    <t>1 раз в неделю</t>
  </si>
  <si>
    <t>1 раз за период</t>
  </si>
  <si>
    <t xml:space="preserve">11 раз за период </t>
  </si>
  <si>
    <t xml:space="preserve">7 раз за период </t>
  </si>
  <si>
    <t xml:space="preserve">5 раз за период </t>
  </si>
  <si>
    <t>1 раза в год</t>
  </si>
  <si>
    <t>по мере необх.</t>
  </si>
  <si>
    <t>круглосуточно</t>
  </si>
  <si>
    <t>Обязательная аттестация персонала, охрана труда, информационно-техническая база</t>
  </si>
  <si>
    <t>-</t>
  </si>
  <si>
    <t>4.3.1</t>
  </si>
  <si>
    <t>4.3.2</t>
  </si>
  <si>
    <t>Данные по начислениям и оплате услуг Жилого дома Зорге 96</t>
  </si>
  <si>
    <t>Общая площадь жилого дома по ул. Зорге 96:</t>
  </si>
  <si>
    <t>Доходная часть жилого дома Зорге 96</t>
  </si>
  <si>
    <t>Обслуживание лифтов (с 16 мая 2011г)</t>
  </si>
  <si>
    <t>не освоены</t>
  </si>
  <si>
    <t>Перечень затрат МКД по адресу : ул. Зорге 96 за 2011 год</t>
  </si>
  <si>
    <t>2.6.</t>
  </si>
  <si>
    <t>3.4.</t>
  </si>
  <si>
    <t>Расходы на оплату труда (вкл. социальные отчисления) и материалы, в т.ч.:</t>
  </si>
  <si>
    <t>ведение договоров с поставщиками коммунальных услуг</t>
  </si>
  <si>
    <t>7 раз в неделю</t>
  </si>
  <si>
    <t>Площадь мест общего пользования</t>
  </si>
  <si>
    <t>Периодич-ность</t>
  </si>
  <si>
    <t>Инвентарь, материалы. Благоустройство дворовой территории</t>
  </si>
  <si>
    <t>Налоговая нагрузка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</si>
</sst>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entury"/>
      <family val="1"/>
      <charset val="204"/>
    </font>
    <font>
      <b/>
      <i/>
      <sz val="10"/>
      <color theme="1"/>
      <name val="Century"/>
      <family val="1"/>
      <charset val="204"/>
    </font>
    <font>
      <sz val="10"/>
      <color theme="1"/>
      <name val="Century"/>
      <family val="1"/>
      <charset val="204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i/>
      <sz val="12"/>
      <color theme="1"/>
      <name val="Century"/>
      <family val="1"/>
      <charset val="204"/>
    </font>
    <font>
      <i/>
      <sz val="10"/>
      <color theme="1"/>
      <name val="Century"/>
      <family val="1"/>
      <charset val="204"/>
    </font>
    <font>
      <i/>
      <sz val="8"/>
      <color theme="1"/>
      <name val="Century"/>
      <family val="1"/>
      <charset val="204"/>
    </font>
    <font>
      <sz val="9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sz val="10"/>
      <color rgb="FF000000"/>
      <name val="Century"/>
      <family val="1"/>
      <charset val="204"/>
    </font>
    <font>
      <b/>
      <sz val="10"/>
      <color rgb="FF000000"/>
      <name val="Century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1"/>
      <color theme="1"/>
      <name val="Century"/>
      <family val="1"/>
      <charset val="204"/>
    </font>
    <font>
      <b/>
      <sz val="8"/>
      <color theme="1"/>
      <name val="Century"/>
      <family val="1"/>
      <charset val="204"/>
    </font>
    <font>
      <sz val="9"/>
      <color theme="1"/>
      <name val="Century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2" xfId="0" applyFont="1" applyBorder="1"/>
    <xf numFmtId="0" fontId="6" fillId="0" borderId="1" xfId="0" applyFont="1" applyBorder="1" applyAlignment="1">
      <alignment vertical="top" wrapText="1"/>
    </xf>
    <xf numFmtId="0" fontId="5" fillId="0" borderId="0" xfId="0" applyFont="1" applyFill="1" applyBorder="1"/>
    <xf numFmtId="0" fontId="6" fillId="2" borderId="2" xfId="0" applyFont="1" applyFill="1" applyBorder="1"/>
    <xf numFmtId="0" fontId="5" fillId="0" borderId="0" xfId="0" applyNumberFormat="1" applyFont="1"/>
    <xf numFmtId="0" fontId="4" fillId="0" borderId="0" xfId="0" applyNumberFormat="1" applyFont="1"/>
    <xf numFmtId="0" fontId="6" fillId="0" borderId="2" xfId="0" applyNumberFormat="1" applyFont="1" applyBorder="1"/>
    <xf numFmtId="0" fontId="6" fillId="0" borderId="0" xfId="0" applyFont="1" applyBorder="1" applyAlignment="1">
      <alignment vertical="top" wrapText="1"/>
    </xf>
    <xf numFmtId="0" fontId="1" fillId="0" borderId="0" xfId="0" applyFont="1"/>
    <xf numFmtId="4" fontId="6" fillId="0" borderId="2" xfId="0" applyNumberFormat="1" applyFont="1" applyBorder="1"/>
    <xf numFmtId="4" fontId="6" fillId="2" borderId="2" xfId="0" applyNumberFormat="1" applyFont="1" applyFill="1" applyBorder="1"/>
    <xf numFmtId="0" fontId="11" fillId="0" borderId="2" xfId="0" applyFont="1" applyBorder="1"/>
    <xf numFmtId="4" fontId="11" fillId="0" borderId="2" xfId="0" applyNumberFormat="1" applyFont="1" applyBorder="1"/>
    <xf numFmtId="4" fontId="3" fillId="3" borderId="4" xfId="0" applyNumberFormat="1" applyFont="1" applyFill="1" applyBorder="1" applyAlignment="1">
      <alignment vertical="center" wrapText="1"/>
    </xf>
    <xf numFmtId="0" fontId="14" fillId="0" borderId="0" xfId="0" applyFont="1"/>
    <xf numFmtId="0" fontId="3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3" fillId="3" borderId="2" xfId="0" applyFont="1" applyFill="1" applyBorder="1"/>
    <xf numFmtId="49" fontId="15" fillId="3" borderId="2" xfId="0" applyNumberFormat="1" applyFont="1" applyFill="1" applyBorder="1" applyAlignment="1">
      <alignment horizontal="right" vertical="top"/>
    </xf>
    <xf numFmtId="0" fontId="14" fillId="3" borderId="2" xfId="0" applyFont="1" applyFill="1" applyBorder="1" applyAlignment="1">
      <alignment horizontal="right" vertical="top"/>
    </xf>
    <xf numFmtId="0" fontId="14" fillId="3" borderId="2" xfId="0" applyFont="1" applyFill="1" applyBorder="1" applyAlignment="1">
      <alignment horizontal="left" vertical="top"/>
    </xf>
    <xf numFmtId="49" fontId="14" fillId="3" borderId="2" xfId="0" applyNumberFormat="1" applyFont="1" applyFill="1" applyBorder="1" applyAlignment="1">
      <alignment horizontal="right" vertical="top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4" fontId="20" fillId="3" borderId="2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top" wrapText="1"/>
    </xf>
    <xf numFmtId="4" fontId="1" fillId="3" borderId="6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4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top" wrapText="1"/>
    </xf>
    <xf numFmtId="0" fontId="0" fillId="0" borderId="0" xfId="0" applyNumberFormat="1"/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/>
    <xf numFmtId="2" fontId="6" fillId="2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16" fillId="3" borderId="3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/>
    <xf numFmtId="4" fontId="6" fillId="2" borderId="4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0" borderId="3" xfId="0" applyFont="1" applyBorder="1" applyAlignment="1">
      <alignment wrapText="1"/>
    </xf>
    <xf numFmtId="0" fontId="22" fillId="0" borderId="4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2" fontId="19" fillId="4" borderId="6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71" workbookViewId="0">
      <selection activeCell="E87" sqref="E87"/>
    </sheetView>
  </sheetViews>
  <sheetFormatPr defaultRowHeight="15" x14ac:dyDescent="0.25"/>
  <cols>
    <col min="1" max="1" width="4.85546875" customWidth="1"/>
    <col min="2" max="2" width="61.85546875" customWidth="1"/>
    <col min="3" max="3" width="14.140625" customWidth="1"/>
    <col min="4" max="4" width="14.42578125" customWidth="1"/>
    <col min="5" max="5" width="15.28515625" customWidth="1"/>
  </cols>
  <sheetData>
    <row r="1" spans="1:5" s="2" customFormat="1" ht="33" customHeight="1" x14ac:dyDescent="0.25">
      <c r="A1" s="1"/>
      <c r="B1" s="79" t="s">
        <v>137</v>
      </c>
      <c r="C1" s="79"/>
      <c r="D1" s="80"/>
    </row>
    <row r="2" spans="1:5" s="2" customFormat="1" ht="17.25" customHeight="1" x14ac:dyDescent="0.2">
      <c r="A2" s="86" t="s">
        <v>0</v>
      </c>
      <c r="B2" s="84" t="s">
        <v>1</v>
      </c>
      <c r="C2" s="91" t="s">
        <v>81</v>
      </c>
      <c r="D2" s="88" t="s">
        <v>82</v>
      </c>
      <c r="E2" s="88" t="s">
        <v>144</v>
      </c>
    </row>
    <row r="3" spans="1:5" s="2" customFormat="1" ht="23.25" customHeight="1" x14ac:dyDescent="0.2">
      <c r="A3" s="87"/>
      <c r="B3" s="85"/>
      <c r="C3" s="92"/>
      <c r="D3" s="89"/>
      <c r="E3" s="89"/>
    </row>
    <row r="4" spans="1:5" s="2" customFormat="1" ht="8.25" hidden="1" customHeight="1" x14ac:dyDescent="0.2">
      <c r="A4" s="64">
        <v>1</v>
      </c>
      <c r="B4" s="64" t="s">
        <v>1</v>
      </c>
      <c r="C4" s="92"/>
      <c r="D4" s="89"/>
      <c r="E4" s="89"/>
    </row>
    <row r="5" spans="1:5" s="2" customFormat="1" ht="14.25" customHeight="1" x14ac:dyDescent="0.2">
      <c r="A5" s="64"/>
      <c r="B5" s="65" t="s">
        <v>32</v>
      </c>
      <c r="C5" s="93"/>
      <c r="D5" s="90"/>
      <c r="E5" s="90"/>
    </row>
    <row r="6" spans="1:5" s="2" customFormat="1" ht="15.75" customHeight="1" x14ac:dyDescent="0.2">
      <c r="A6" s="24">
        <v>1</v>
      </c>
      <c r="B6" s="36" t="s">
        <v>2</v>
      </c>
      <c r="C6" s="36"/>
      <c r="D6" s="37"/>
      <c r="E6" s="81"/>
    </row>
    <row r="7" spans="1:5" s="2" customFormat="1" ht="15" customHeight="1" x14ac:dyDescent="0.2">
      <c r="A7" s="21" t="s">
        <v>3</v>
      </c>
      <c r="B7" s="25" t="s">
        <v>74</v>
      </c>
      <c r="C7" s="94">
        <f>C8+C9</f>
        <v>3362.9</v>
      </c>
      <c r="D7" s="94"/>
      <c r="E7" s="82"/>
    </row>
    <row r="8" spans="1:5" s="2" customFormat="1" ht="15" customHeight="1" x14ac:dyDescent="0.2">
      <c r="A8" s="21" t="s">
        <v>4</v>
      </c>
      <c r="B8" s="25" t="s">
        <v>73</v>
      </c>
      <c r="C8" s="94">
        <v>2586.8000000000002</v>
      </c>
      <c r="D8" s="94"/>
      <c r="E8" s="82"/>
    </row>
    <row r="9" spans="1:5" s="2" customFormat="1" ht="15.75" customHeight="1" x14ac:dyDescent="0.2">
      <c r="A9" s="21" t="s">
        <v>75</v>
      </c>
      <c r="B9" s="25" t="s">
        <v>143</v>
      </c>
      <c r="C9" s="94">
        <v>776.1</v>
      </c>
      <c r="D9" s="94"/>
      <c r="E9" s="82"/>
    </row>
    <row r="10" spans="1:5" s="2" customFormat="1" ht="15.75" customHeight="1" x14ac:dyDescent="0.2">
      <c r="A10" s="21" t="s">
        <v>76</v>
      </c>
      <c r="B10" s="25" t="s">
        <v>78</v>
      </c>
      <c r="C10" s="94">
        <v>49</v>
      </c>
      <c r="D10" s="94"/>
      <c r="E10" s="82"/>
    </row>
    <row r="11" spans="1:5" s="2" customFormat="1" ht="16.5" customHeight="1" x14ac:dyDescent="0.2">
      <c r="A11" s="21" t="s">
        <v>77</v>
      </c>
      <c r="B11" s="25" t="s">
        <v>79</v>
      </c>
      <c r="C11" s="94">
        <v>1</v>
      </c>
      <c r="D11" s="94"/>
      <c r="E11" s="83"/>
    </row>
    <row r="12" spans="1:5" s="14" customFormat="1" ht="27.75" customHeight="1" thickBot="1" x14ac:dyDescent="0.25">
      <c r="A12" s="24" t="s">
        <v>5</v>
      </c>
      <c r="B12" s="26" t="s">
        <v>6</v>
      </c>
      <c r="C12" s="43">
        <v>100574.78</v>
      </c>
      <c r="D12" s="44">
        <f>D13+D14+D15+D16+D17</f>
        <v>93294.968000000008</v>
      </c>
      <c r="E12" s="27" t="s">
        <v>83</v>
      </c>
    </row>
    <row r="13" spans="1:5" s="2" customFormat="1" ht="17.25" customHeight="1" thickBot="1" x14ac:dyDescent="0.25">
      <c r="A13" s="21" t="s">
        <v>7</v>
      </c>
      <c r="B13" s="25" t="s">
        <v>31</v>
      </c>
      <c r="C13" s="45">
        <v>83595</v>
      </c>
      <c r="D13" s="46">
        <f>104%*61163.38</f>
        <v>63609.915199999996</v>
      </c>
      <c r="E13" s="47"/>
    </row>
    <row r="14" spans="1:5" s="2" customFormat="1" ht="17.25" customHeight="1" thickBot="1" x14ac:dyDescent="0.25">
      <c r="A14" s="21" t="s">
        <v>42</v>
      </c>
      <c r="B14" s="25" t="s">
        <v>8</v>
      </c>
      <c r="C14" s="45">
        <v>16980</v>
      </c>
      <c r="D14" s="46">
        <f>104%*10135.33</f>
        <v>10540.743200000001</v>
      </c>
      <c r="E14" s="47"/>
    </row>
    <row r="15" spans="1:5" s="2" customFormat="1" ht="17.25" customHeight="1" thickBot="1" x14ac:dyDescent="0.25">
      <c r="A15" s="21" t="s">
        <v>54</v>
      </c>
      <c r="B15" s="25" t="s">
        <v>62</v>
      </c>
      <c r="C15" s="45"/>
      <c r="D15" s="46">
        <f>104%*(1831.7+3964)</f>
        <v>6027.5280000000002</v>
      </c>
      <c r="E15" s="47"/>
    </row>
    <row r="16" spans="1:5" s="2" customFormat="1" ht="17.25" customHeight="1" thickBot="1" x14ac:dyDescent="0.25">
      <c r="A16" s="21" t="s">
        <v>59</v>
      </c>
      <c r="B16" s="25" t="s">
        <v>80</v>
      </c>
      <c r="C16" s="45"/>
      <c r="D16" s="46">
        <f>104%*3814</f>
        <v>3966.56</v>
      </c>
      <c r="E16" s="47"/>
    </row>
    <row r="17" spans="1:6" s="2" customFormat="1" ht="26.25" customHeight="1" thickBot="1" x14ac:dyDescent="0.25">
      <c r="A17" s="21" t="s">
        <v>138</v>
      </c>
      <c r="B17" s="25" t="s">
        <v>128</v>
      </c>
      <c r="C17" s="45"/>
      <c r="D17" s="46">
        <f>104%*8798.29</f>
        <v>9150.2216000000008</v>
      </c>
      <c r="E17" s="47"/>
    </row>
    <row r="18" spans="1:6" s="14" customFormat="1" ht="27.75" customHeight="1" thickBot="1" x14ac:dyDescent="0.25">
      <c r="A18" s="27">
        <v>3</v>
      </c>
      <c r="B18" s="26" t="s">
        <v>9</v>
      </c>
      <c r="C18" s="41">
        <v>49666.559999999998</v>
      </c>
      <c r="D18" s="44">
        <f>D19+D20+D21+D22</f>
        <v>48923.066400000003</v>
      </c>
      <c r="E18" s="27" t="s">
        <v>127</v>
      </c>
    </row>
    <row r="19" spans="1:6" s="2" customFormat="1" ht="20.25" customHeight="1" thickBot="1" x14ac:dyDescent="0.25">
      <c r="A19" s="21" t="s">
        <v>10</v>
      </c>
      <c r="B19" s="25" t="s">
        <v>31</v>
      </c>
      <c r="C19" s="45">
        <v>46087</v>
      </c>
      <c r="D19" s="46">
        <f>104%*39011.05</f>
        <v>40571.492000000006</v>
      </c>
      <c r="E19" s="47"/>
    </row>
    <row r="20" spans="1:6" s="2" customFormat="1" ht="18" customHeight="1" thickBot="1" x14ac:dyDescent="0.25">
      <c r="A20" s="21" t="s">
        <v>43</v>
      </c>
      <c r="B20" s="25" t="s">
        <v>11</v>
      </c>
      <c r="C20" s="45">
        <v>3580</v>
      </c>
      <c r="D20" s="46">
        <f>104%*(3359.79+1370.52)</f>
        <v>4919.5223999999998</v>
      </c>
      <c r="E20" s="47"/>
    </row>
    <row r="21" spans="1:6" s="2" customFormat="1" ht="16.5" customHeight="1" thickBot="1" x14ac:dyDescent="0.25">
      <c r="A21" s="28" t="s">
        <v>56</v>
      </c>
      <c r="B21" s="39" t="s">
        <v>55</v>
      </c>
      <c r="C21" s="48"/>
      <c r="D21" s="46">
        <f>104%*1140.48</f>
        <v>1186.0992000000001</v>
      </c>
      <c r="E21" s="47"/>
    </row>
    <row r="22" spans="1:6" s="2" customFormat="1" ht="13.5" customHeight="1" thickBot="1" x14ac:dyDescent="0.25">
      <c r="A22" s="21" t="s">
        <v>139</v>
      </c>
      <c r="B22" s="25" t="s">
        <v>57</v>
      </c>
      <c r="C22" s="45"/>
      <c r="D22" s="46">
        <f>104%*2159.57</f>
        <v>2245.9528</v>
      </c>
      <c r="E22" s="47"/>
    </row>
    <row r="23" spans="1:6" s="14" customFormat="1" ht="20.25" customHeight="1" thickBot="1" x14ac:dyDescent="0.25">
      <c r="A23" s="24">
        <v>4</v>
      </c>
      <c r="B23" s="26" t="s">
        <v>12</v>
      </c>
      <c r="C23" s="41">
        <v>52770.720000000001</v>
      </c>
      <c r="D23" s="44">
        <f>D24+D25</f>
        <v>49627.687199999993</v>
      </c>
      <c r="E23" s="27" t="s">
        <v>83</v>
      </c>
    </row>
    <row r="24" spans="1:6" s="2" customFormat="1" ht="17.25" customHeight="1" thickBot="1" x14ac:dyDescent="0.25">
      <c r="A24" s="21" t="s">
        <v>13</v>
      </c>
      <c r="B24" s="25" t="s">
        <v>31</v>
      </c>
      <c r="C24" s="45">
        <v>37570.720000000001</v>
      </c>
      <c r="D24" s="46">
        <f>104%*42567.06</f>
        <v>44269.742399999996</v>
      </c>
      <c r="E24" s="47"/>
    </row>
    <row r="25" spans="1:6" s="2" customFormat="1" ht="18" customHeight="1" thickBot="1" x14ac:dyDescent="0.25">
      <c r="A25" s="21" t="s">
        <v>40</v>
      </c>
      <c r="B25" s="25" t="s">
        <v>145</v>
      </c>
      <c r="C25" s="45">
        <v>15200</v>
      </c>
      <c r="D25" s="46">
        <f>104%*5151.87</f>
        <v>5357.9448000000002</v>
      </c>
      <c r="E25" s="47"/>
    </row>
    <row r="26" spans="1:6" s="20" customFormat="1" ht="14.25" customHeight="1" x14ac:dyDescent="0.25">
      <c r="A26" s="29" t="s">
        <v>130</v>
      </c>
      <c r="B26" s="71" t="s">
        <v>101</v>
      </c>
      <c r="C26" s="72"/>
      <c r="D26" s="49"/>
      <c r="E26" s="50"/>
      <c r="F26"/>
    </row>
    <row r="27" spans="1:6" s="20" customFormat="1" ht="13.5" customHeight="1" x14ac:dyDescent="0.25">
      <c r="A27" s="30" t="s">
        <v>129</v>
      </c>
      <c r="B27" s="51" t="s">
        <v>102</v>
      </c>
      <c r="C27" s="52"/>
      <c r="D27" s="53"/>
      <c r="E27" s="54" t="s">
        <v>117</v>
      </c>
      <c r="F27"/>
    </row>
    <row r="28" spans="1:6" s="20" customFormat="1" ht="13.5" customHeight="1" x14ac:dyDescent="0.25">
      <c r="A28" s="30" t="s">
        <v>129</v>
      </c>
      <c r="B28" s="51" t="s">
        <v>103</v>
      </c>
      <c r="C28" s="52"/>
      <c r="D28" s="53"/>
      <c r="E28" s="54" t="s">
        <v>118</v>
      </c>
      <c r="F28"/>
    </row>
    <row r="29" spans="1:6" s="20" customFormat="1" ht="14.25" customHeight="1" x14ac:dyDescent="0.25">
      <c r="A29" s="30" t="s">
        <v>129</v>
      </c>
      <c r="B29" s="51" t="s">
        <v>104</v>
      </c>
      <c r="C29" s="52"/>
      <c r="D29" s="53"/>
      <c r="E29" s="54" t="s">
        <v>119</v>
      </c>
      <c r="F29"/>
    </row>
    <row r="30" spans="1:6" s="20" customFormat="1" ht="13.5" customHeight="1" x14ac:dyDescent="0.25">
      <c r="A30" s="30" t="s">
        <v>129</v>
      </c>
      <c r="B30" s="51" t="s">
        <v>105</v>
      </c>
      <c r="C30" s="52"/>
      <c r="D30" s="53"/>
      <c r="E30" s="54" t="s">
        <v>120</v>
      </c>
      <c r="F30"/>
    </row>
    <row r="31" spans="1:6" s="20" customFormat="1" ht="13.5" customHeight="1" x14ac:dyDescent="0.25">
      <c r="A31" s="30" t="s">
        <v>129</v>
      </c>
      <c r="B31" s="55" t="s">
        <v>106</v>
      </c>
      <c r="C31" s="52"/>
      <c r="D31" s="53"/>
      <c r="E31" s="54" t="s">
        <v>119</v>
      </c>
      <c r="F31"/>
    </row>
    <row r="32" spans="1:6" s="20" customFormat="1" ht="13.5" customHeight="1" x14ac:dyDescent="0.25">
      <c r="A32" s="30" t="s">
        <v>129</v>
      </c>
      <c r="B32" s="51" t="s">
        <v>107</v>
      </c>
      <c r="C32" s="52"/>
      <c r="D32" s="53"/>
      <c r="E32" s="54" t="s">
        <v>121</v>
      </c>
      <c r="F32"/>
    </row>
    <row r="33" spans="1:6" s="20" customFormat="1" ht="14.25" customHeight="1" x14ac:dyDescent="0.25">
      <c r="A33" s="30" t="s">
        <v>129</v>
      </c>
      <c r="B33" s="55" t="s">
        <v>108</v>
      </c>
      <c r="C33" s="52"/>
      <c r="D33" s="53"/>
      <c r="E33" s="54" t="s">
        <v>122</v>
      </c>
      <c r="F33"/>
    </row>
    <row r="34" spans="1:6" s="20" customFormat="1" ht="13.5" customHeight="1" x14ac:dyDescent="0.25">
      <c r="A34" s="30" t="s">
        <v>129</v>
      </c>
      <c r="B34" s="55" t="s">
        <v>109</v>
      </c>
      <c r="C34" s="52"/>
      <c r="D34" s="53"/>
      <c r="E34" s="54" t="s">
        <v>123</v>
      </c>
      <c r="F34"/>
    </row>
    <row r="35" spans="1:6" s="20" customFormat="1" x14ac:dyDescent="0.25">
      <c r="A35" s="29" t="s">
        <v>131</v>
      </c>
      <c r="B35" s="71" t="s">
        <v>110</v>
      </c>
      <c r="C35" s="72"/>
      <c r="D35" s="49" t="s">
        <v>111</v>
      </c>
      <c r="E35" s="50"/>
      <c r="F35"/>
    </row>
    <row r="36" spans="1:6" s="20" customFormat="1" ht="14.25" customHeight="1" x14ac:dyDescent="0.25">
      <c r="A36" s="31" t="s">
        <v>129</v>
      </c>
      <c r="B36" s="51" t="s">
        <v>112</v>
      </c>
      <c r="C36" s="52"/>
      <c r="D36" s="53"/>
      <c r="E36" s="54" t="s">
        <v>119</v>
      </c>
      <c r="F36"/>
    </row>
    <row r="37" spans="1:6" s="20" customFormat="1" ht="12.75" customHeight="1" x14ac:dyDescent="0.25">
      <c r="A37" s="31" t="s">
        <v>129</v>
      </c>
      <c r="B37" s="51" t="s">
        <v>113</v>
      </c>
      <c r="C37" s="52"/>
      <c r="D37" s="53"/>
      <c r="E37" s="54"/>
      <c r="F37"/>
    </row>
    <row r="38" spans="1:6" s="20" customFormat="1" ht="13.5" customHeight="1" x14ac:dyDescent="0.25">
      <c r="A38" s="31" t="s">
        <v>129</v>
      </c>
      <c r="B38" s="51" t="s">
        <v>114</v>
      </c>
      <c r="C38" s="52"/>
      <c r="D38" s="53"/>
      <c r="E38" s="54"/>
      <c r="F38"/>
    </row>
    <row r="39" spans="1:6" s="20" customFormat="1" ht="12.75" customHeight="1" x14ac:dyDescent="0.25">
      <c r="A39" s="31" t="s">
        <v>129</v>
      </c>
      <c r="B39" s="51" t="s">
        <v>102</v>
      </c>
      <c r="C39" s="52"/>
      <c r="D39" s="53"/>
      <c r="E39" s="54" t="s">
        <v>119</v>
      </c>
      <c r="F39"/>
    </row>
    <row r="40" spans="1:6" s="20" customFormat="1" ht="14.25" customHeight="1" x14ac:dyDescent="0.25">
      <c r="A40" s="31" t="s">
        <v>129</v>
      </c>
      <c r="B40" s="51" t="s">
        <v>104</v>
      </c>
      <c r="C40" s="52"/>
      <c r="D40" s="53"/>
      <c r="E40" s="54" t="s">
        <v>119</v>
      </c>
      <c r="F40"/>
    </row>
    <row r="41" spans="1:6" s="20" customFormat="1" ht="13.5" customHeight="1" x14ac:dyDescent="0.25">
      <c r="A41" s="31" t="s">
        <v>129</v>
      </c>
      <c r="B41" s="51" t="s">
        <v>115</v>
      </c>
      <c r="C41" s="56"/>
      <c r="D41" s="53"/>
      <c r="E41" s="57" t="s">
        <v>119</v>
      </c>
      <c r="F41"/>
    </row>
    <row r="42" spans="1:6" s="20" customFormat="1" ht="26.25" customHeight="1" x14ac:dyDescent="0.25">
      <c r="A42" s="31" t="s">
        <v>129</v>
      </c>
      <c r="B42" s="51" t="s">
        <v>116</v>
      </c>
      <c r="C42" s="52"/>
      <c r="D42" s="53"/>
      <c r="E42" s="54" t="s">
        <v>124</v>
      </c>
      <c r="F42"/>
    </row>
    <row r="43" spans="1:6" s="20" customFormat="1" ht="12.75" customHeight="1" x14ac:dyDescent="0.25">
      <c r="A43" s="31" t="s">
        <v>129</v>
      </c>
      <c r="B43" s="55" t="s">
        <v>106</v>
      </c>
      <c r="C43" s="52"/>
      <c r="D43" s="53"/>
      <c r="E43" s="54" t="s">
        <v>119</v>
      </c>
      <c r="F43"/>
    </row>
    <row r="44" spans="1:6" s="14" customFormat="1" ht="18" customHeight="1" thickBot="1" x14ac:dyDescent="0.25">
      <c r="A44" s="24" t="s">
        <v>14</v>
      </c>
      <c r="B44" s="26" t="s">
        <v>15</v>
      </c>
      <c r="C44" s="41">
        <v>40354.080000000002</v>
      </c>
      <c r="D44" s="44">
        <f>D45+D46</f>
        <v>38613.567199999998</v>
      </c>
      <c r="E44" s="27" t="s">
        <v>83</v>
      </c>
    </row>
    <row r="45" spans="1:6" s="2" customFormat="1" ht="15" customHeight="1" thickBot="1" x14ac:dyDescent="0.25">
      <c r="A45" s="21" t="s">
        <v>16</v>
      </c>
      <c r="B45" s="25" t="s">
        <v>31</v>
      </c>
      <c r="C45" s="45">
        <v>36104.080000000002</v>
      </c>
      <c r="D45" s="46">
        <f>104%*25297.05</f>
        <v>26308.932000000001</v>
      </c>
      <c r="E45" s="47"/>
    </row>
    <row r="46" spans="1:6" s="2" customFormat="1" ht="15" customHeight="1" thickBot="1" x14ac:dyDescent="0.25">
      <c r="A46" s="21" t="s">
        <v>41</v>
      </c>
      <c r="B46" s="25" t="s">
        <v>17</v>
      </c>
      <c r="C46" s="45">
        <v>4250</v>
      </c>
      <c r="D46" s="46">
        <f>104%*11831.38</f>
        <v>12304.635199999999</v>
      </c>
      <c r="E46" s="47"/>
    </row>
    <row r="47" spans="1:6" s="20" customFormat="1" ht="12.75" customHeight="1" x14ac:dyDescent="0.2">
      <c r="A47" s="32" t="s">
        <v>129</v>
      </c>
      <c r="B47" s="51" t="s">
        <v>89</v>
      </c>
      <c r="C47" s="52"/>
      <c r="D47" s="53"/>
      <c r="E47" s="54" t="s">
        <v>97</v>
      </c>
    </row>
    <row r="48" spans="1:6" s="20" customFormat="1" ht="14.25" customHeight="1" x14ac:dyDescent="0.2">
      <c r="A48" s="32" t="s">
        <v>129</v>
      </c>
      <c r="B48" s="51" t="s">
        <v>90</v>
      </c>
      <c r="C48" s="52"/>
      <c r="D48" s="53"/>
      <c r="E48" s="54" t="s">
        <v>98</v>
      </c>
    </row>
    <row r="49" spans="1:5" s="20" customFormat="1" ht="13.5" customHeight="1" x14ac:dyDescent="0.2">
      <c r="A49" s="32" t="s">
        <v>129</v>
      </c>
      <c r="B49" s="51" t="s">
        <v>91</v>
      </c>
      <c r="C49" s="52"/>
      <c r="D49" s="53"/>
      <c r="E49" s="54" t="s">
        <v>99</v>
      </c>
    </row>
    <row r="50" spans="1:5" s="20" customFormat="1" ht="13.5" customHeight="1" x14ac:dyDescent="0.2">
      <c r="A50" s="32" t="s">
        <v>129</v>
      </c>
      <c r="B50" s="51" t="s">
        <v>92</v>
      </c>
      <c r="C50" s="52"/>
      <c r="D50" s="53"/>
      <c r="E50" s="54" t="s">
        <v>100</v>
      </c>
    </row>
    <row r="51" spans="1:5" s="20" customFormat="1" ht="14.25" customHeight="1" x14ac:dyDescent="0.2">
      <c r="A51" s="32" t="s">
        <v>129</v>
      </c>
      <c r="B51" s="51" t="s">
        <v>93</v>
      </c>
      <c r="C51" s="52"/>
      <c r="D51" s="53"/>
      <c r="E51" s="54" t="s">
        <v>99</v>
      </c>
    </row>
    <row r="52" spans="1:5" s="20" customFormat="1" ht="13.5" customHeight="1" x14ac:dyDescent="0.2">
      <c r="A52" s="32" t="s">
        <v>129</v>
      </c>
      <c r="B52" s="55" t="s">
        <v>94</v>
      </c>
      <c r="C52" s="52"/>
      <c r="D52" s="53"/>
      <c r="E52" s="54" t="s">
        <v>97</v>
      </c>
    </row>
    <row r="53" spans="1:5" s="20" customFormat="1" ht="14.25" customHeight="1" x14ac:dyDescent="0.2">
      <c r="A53" s="32" t="s">
        <v>129</v>
      </c>
      <c r="B53" s="51" t="s">
        <v>95</v>
      </c>
      <c r="C53" s="52"/>
      <c r="D53" s="53"/>
      <c r="E53" s="54" t="s">
        <v>100</v>
      </c>
    </row>
    <row r="54" spans="1:5" s="20" customFormat="1" ht="12.75" customHeight="1" x14ac:dyDescent="0.2">
      <c r="A54" s="30" t="s">
        <v>129</v>
      </c>
      <c r="B54" s="51" t="s">
        <v>96</v>
      </c>
      <c r="C54" s="52"/>
      <c r="D54" s="53"/>
      <c r="E54" s="54" t="s">
        <v>84</v>
      </c>
    </row>
    <row r="55" spans="1:5" s="14" customFormat="1" ht="21" customHeight="1" thickBot="1" x14ac:dyDescent="0.25">
      <c r="A55" s="24" t="s">
        <v>18</v>
      </c>
      <c r="B55" s="26" t="s">
        <v>19</v>
      </c>
      <c r="C55" s="41">
        <v>3414.576</v>
      </c>
      <c r="D55" s="44">
        <f>104%*912</f>
        <v>948.48</v>
      </c>
      <c r="E55" s="47" t="s">
        <v>125</v>
      </c>
    </row>
    <row r="56" spans="1:5" s="14" customFormat="1" ht="20.25" customHeight="1" thickBot="1" x14ac:dyDescent="0.25">
      <c r="A56" s="24" t="s">
        <v>30</v>
      </c>
      <c r="B56" s="26" t="s">
        <v>20</v>
      </c>
      <c r="C56" s="41">
        <v>63635.28</v>
      </c>
      <c r="D56" s="44">
        <f>D57+D63</f>
        <v>63329.531199999998</v>
      </c>
      <c r="E56" s="27" t="s">
        <v>83</v>
      </c>
    </row>
    <row r="57" spans="1:5" s="2" customFormat="1" ht="26.25" customHeight="1" thickBot="1" x14ac:dyDescent="0.25">
      <c r="A57" s="21" t="s">
        <v>52</v>
      </c>
      <c r="B57" s="25" t="s">
        <v>140</v>
      </c>
      <c r="C57" s="45">
        <v>45010.32</v>
      </c>
      <c r="D57" s="46">
        <f>104%*(6144.95+54558.18)</f>
        <v>63131.2552</v>
      </c>
      <c r="E57" s="47"/>
    </row>
    <row r="58" spans="1:5" s="2" customFormat="1" ht="15" customHeight="1" thickBot="1" x14ac:dyDescent="0.25">
      <c r="A58" s="21" t="s">
        <v>129</v>
      </c>
      <c r="B58" s="25" t="s">
        <v>85</v>
      </c>
      <c r="C58" s="45">
        <v>18624.96</v>
      </c>
      <c r="D58" s="46">
        <f>D57*31%</f>
        <v>19570.689112</v>
      </c>
      <c r="E58" s="47"/>
    </row>
    <row r="59" spans="1:5" s="2" customFormat="1" ht="16.5" customHeight="1" thickBot="1" x14ac:dyDescent="0.25">
      <c r="A59" s="21" t="s">
        <v>129</v>
      </c>
      <c r="B59" s="25" t="s">
        <v>86</v>
      </c>
      <c r="C59" s="45"/>
      <c r="D59" s="46">
        <f>D57*14%</f>
        <v>8838.3757280000009</v>
      </c>
      <c r="E59" s="47"/>
    </row>
    <row r="60" spans="1:5" s="2" customFormat="1" ht="17.25" customHeight="1" thickBot="1" x14ac:dyDescent="0.25">
      <c r="A60" s="21" t="s">
        <v>129</v>
      </c>
      <c r="B60" s="25" t="s">
        <v>87</v>
      </c>
      <c r="C60" s="45"/>
      <c r="D60" s="46">
        <f>D57*21%</f>
        <v>13257.563591999999</v>
      </c>
      <c r="E60" s="47"/>
    </row>
    <row r="61" spans="1:5" s="2" customFormat="1" ht="16.5" customHeight="1" thickBot="1" x14ac:dyDescent="0.25">
      <c r="A61" s="21" t="s">
        <v>129</v>
      </c>
      <c r="B61" s="25" t="s">
        <v>141</v>
      </c>
      <c r="C61" s="45"/>
      <c r="D61" s="46">
        <f>D57*15%</f>
        <v>9469.6882800000003</v>
      </c>
      <c r="E61" s="47"/>
    </row>
    <row r="62" spans="1:5" s="2" customFormat="1" ht="18.75" customHeight="1" thickBot="1" x14ac:dyDescent="0.25">
      <c r="A62" s="21" t="s">
        <v>129</v>
      </c>
      <c r="B62" s="25" t="s">
        <v>88</v>
      </c>
      <c r="C62" s="45"/>
      <c r="D62" s="46">
        <f>D57*19%</f>
        <v>11994.938488</v>
      </c>
      <c r="E62" s="45"/>
    </row>
    <row r="63" spans="1:5" s="2" customFormat="1" ht="16.5" customHeight="1" thickBot="1" x14ac:dyDescent="0.25">
      <c r="A63" s="21" t="s">
        <v>53</v>
      </c>
      <c r="B63" s="38" t="s">
        <v>64</v>
      </c>
      <c r="C63" s="45"/>
      <c r="D63" s="46">
        <f>104%*190.65</f>
        <v>198.27600000000001</v>
      </c>
      <c r="E63" s="47"/>
    </row>
    <row r="64" spans="1:5" s="2" customFormat="1" ht="13.5" customHeight="1" thickBot="1" x14ac:dyDescent="0.25">
      <c r="A64" s="24" t="s">
        <v>44</v>
      </c>
      <c r="B64" s="26" t="s">
        <v>21</v>
      </c>
      <c r="C64" s="41">
        <v>1241.6600000000001</v>
      </c>
      <c r="D64" s="44">
        <v>1200</v>
      </c>
      <c r="E64" s="47"/>
    </row>
    <row r="65" spans="1:5" s="2" customFormat="1" ht="12.75" customHeight="1" thickBot="1" x14ac:dyDescent="0.25">
      <c r="A65" s="24" t="s">
        <v>45</v>
      </c>
      <c r="B65" s="26" t="s">
        <v>22</v>
      </c>
      <c r="C65" s="41">
        <v>6208.32</v>
      </c>
      <c r="D65" s="44">
        <f>104%*11325</f>
        <v>11778</v>
      </c>
      <c r="E65" s="47" t="s">
        <v>126</v>
      </c>
    </row>
    <row r="66" spans="1:5" s="2" customFormat="1" ht="13.5" customHeight="1" thickBot="1" x14ac:dyDescent="0.25">
      <c r="A66" s="24" t="s">
        <v>46</v>
      </c>
      <c r="B66" s="26" t="s">
        <v>23</v>
      </c>
      <c r="C66" s="41">
        <v>9312.48</v>
      </c>
      <c r="D66" s="44">
        <f>104%*9036.43</f>
        <v>9397.887200000001</v>
      </c>
      <c r="E66" s="47" t="s">
        <v>126</v>
      </c>
    </row>
    <row r="67" spans="1:5" s="2" customFormat="1" ht="14.25" customHeight="1" thickBot="1" x14ac:dyDescent="0.25">
      <c r="A67" s="24" t="s">
        <v>47</v>
      </c>
      <c r="B67" s="26" t="s">
        <v>24</v>
      </c>
      <c r="C67" s="41">
        <v>7139.57</v>
      </c>
      <c r="D67" s="44">
        <f>104%*17650</f>
        <v>18356</v>
      </c>
      <c r="E67" s="47" t="s">
        <v>98</v>
      </c>
    </row>
    <row r="68" spans="1:5" s="2" customFormat="1" ht="14.25" customHeight="1" thickBot="1" x14ac:dyDescent="0.25">
      <c r="A68" s="24" t="s">
        <v>48</v>
      </c>
      <c r="B68" s="26" t="s">
        <v>146</v>
      </c>
      <c r="C68" s="41">
        <v>7139.57</v>
      </c>
      <c r="D68" s="44">
        <f>7139.57</f>
        <v>7139.57</v>
      </c>
      <c r="E68" s="47"/>
    </row>
    <row r="69" spans="1:5" s="2" customFormat="1" ht="13.5" customHeight="1" thickBot="1" x14ac:dyDescent="0.25">
      <c r="A69" s="34"/>
      <c r="B69" s="58" t="s">
        <v>25</v>
      </c>
      <c r="C69" s="62">
        <f>C68+C67+C66+C65+C64+C56+C55+C44+C23+C18+C12</f>
        <v>341457.59600000002</v>
      </c>
      <c r="D69" s="59">
        <f>D12+D18+D23+D44+D55+D56+D64+D65+D66+D67+D68+E68</f>
        <v>342608.75719999999</v>
      </c>
      <c r="E69" s="45"/>
    </row>
    <row r="70" spans="1:5" s="2" customFormat="1" ht="13.5" customHeight="1" thickBot="1" x14ac:dyDescent="0.25">
      <c r="A70" s="34"/>
      <c r="B70" s="58" t="s">
        <v>60</v>
      </c>
      <c r="C70" s="63">
        <v>11</v>
      </c>
      <c r="D70" s="59">
        <f>D69/C8/12</f>
        <v>11.037084338436161</v>
      </c>
      <c r="E70" s="47"/>
    </row>
    <row r="71" spans="1:5" s="2" customFormat="1" ht="13.5" customHeight="1" x14ac:dyDescent="0.2">
      <c r="A71" s="24" t="s">
        <v>26</v>
      </c>
      <c r="B71" s="33" t="s">
        <v>27</v>
      </c>
      <c r="C71" s="21"/>
      <c r="D71" s="19"/>
      <c r="E71" s="35"/>
    </row>
    <row r="72" spans="1:5" s="2" customFormat="1" ht="17.25" customHeight="1" x14ac:dyDescent="0.2">
      <c r="A72" s="24" t="s">
        <v>49</v>
      </c>
      <c r="B72" s="24" t="s">
        <v>28</v>
      </c>
      <c r="C72" s="23">
        <f>C73*C8*12</f>
        <v>29799.936000000002</v>
      </c>
      <c r="D72" s="23">
        <f>24989.12*119%</f>
        <v>29737.052799999998</v>
      </c>
      <c r="E72" s="35" t="s">
        <v>142</v>
      </c>
    </row>
    <row r="73" spans="1:5" s="2" customFormat="1" ht="14.25" customHeight="1" x14ac:dyDescent="0.2">
      <c r="A73" s="21"/>
      <c r="B73" s="22" t="s">
        <v>60</v>
      </c>
      <c r="C73" s="21">
        <v>0.96</v>
      </c>
      <c r="D73" s="40"/>
      <c r="E73" s="35"/>
    </row>
    <row r="74" spans="1:5" s="2" customFormat="1" ht="14.25" customHeight="1" x14ac:dyDescent="0.2">
      <c r="A74" s="24" t="s">
        <v>5</v>
      </c>
      <c r="B74" s="24" t="s">
        <v>135</v>
      </c>
      <c r="C74" s="42">
        <v>43458.239999999998</v>
      </c>
      <c r="D74" s="23">
        <f>26457*102.5%</f>
        <v>27118.424999999999</v>
      </c>
      <c r="E74" s="35" t="s">
        <v>83</v>
      </c>
    </row>
    <row r="75" spans="1:5" s="2" customFormat="1" ht="14.25" customHeight="1" x14ac:dyDescent="0.2">
      <c r="A75" s="21"/>
      <c r="B75" s="21" t="s">
        <v>60</v>
      </c>
      <c r="C75" s="60">
        <v>1.4</v>
      </c>
      <c r="D75" s="40"/>
      <c r="E75" s="35"/>
    </row>
    <row r="76" spans="1:5" s="2" customFormat="1" ht="13.5" customHeight="1" x14ac:dyDescent="0.2">
      <c r="A76" s="24" t="s">
        <v>50</v>
      </c>
      <c r="B76" s="24" t="s">
        <v>58</v>
      </c>
      <c r="C76" s="42">
        <v>3724.99</v>
      </c>
      <c r="D76" s="23" t="s">
        <v>136</v>
      </c>
      <c r="E76" s="35"/>
    </row>
    <row r="77" spans="1:5" s="2" customFormat="1" ht="14.25" customHeight="1" x14ac:dyDescent="0.2">
      <c r="A77" s="21"/>
      <c r="B77" s="21" t="s">
        <v>60</v>
      </c>
      <c r="C77" s="21">
        <v>0.12</v>
      </c>
      <c r="D77" s="40"/>
      <c r="E77" s="35"/>
    </row>
    <row r="81" spans="1:4" x14ac:dyDescent="0.25">
      <c r="C81" s="61"/>
    </row>
    <row r="82" spans="1:4" x14ac:dyDescent="0.25">
      <c r="A82" s="4"/>
      <c r="B82" s="4" t="s">
        <v>132</v>
      </c>
      <c r="C82" s="10"/>
      <c r="D82" s="4"/>
    </row>
    <row r="83" spans="1:4" x14ac:dyDescent="0.25">
      <c r="A83" s="3"/>
      <c r="B83" s="5" t="s">
        <v>72</v>
      </c>
      <c r="C83" s="11"/>
      <c r="D83" s="3"/>
    </row>
    <row r="84" spans="1:4" x14ac:dyDescent="0.25">
      <c r="A84" s="3"/>
      <c r="B84" s="5" t="s">
        <v>133</v>
      </c>
      <c r="C84" s="11">
        <v>2586.8000000000002</v>
      </c>
      <c r="D84" s="3"/>
    </row>
    <row r="85" spans="1:4" s="66" customFormat="1" ht="30" x14ac:dyDescent="0.3">
      <c r="A85" s="67"/>
      <c r="B85" s="67" t="s">
        <v>35</v>
      </c>
      <c r="C85" s="68" t="s">
        <v>63</v>
      </c>
      <c r="D85" s="69" t="s">
        <v>61</v>
      </c>
    </row>
    <row r="86" spans="1:4" ht="15.75" x14ac:dyDescent="0.3">
      <c r="A86" s="6">
        <v>1</v>
      </c>
      <c r="B86" s="6" t="s">
        <v>33</v>
      </c>
      <c r="C86" s="15">
        <f>11*C84*12</f>
        <v>341457.60000000003</v>
      </c>
      <c r="D86" s="15">
        <f>73629.53+234405.54</f>
        <v>308035.07</v>
      </c>
    </row>
    <row r="87" spans="1:4" ht="16.5" thickBot="1" x14ac:dyDescent="0.35">
      <c r="A87" s="6">
        <v>2</v>
      </c>
      <c r="B87" s="7" t="s">
        <v>28</v>
      </c>
      <c r="C87" s="15">
        <f>6376.39+23336.22</f>
        <v>29712.61</v>
      </c>
      <c r="D87" s="15">
        <f>6376.39+20179.73</f>
        <v>26556.12</v>
      </c>
    </row>
    <row r="88" spans="1:4" ht="16.5" thickBot="1" x14ac:dyDescent="0.35">
      <c r="A88" s="6">
        <v>3</v>
      </c>
      <c r="B88" s="7" t="s">
        <v>29</v>
      </c>
      <c r="C88" s="15">
        <v>2903.74</v>
      </c>
      <c r="D88" s="15">
        <v>2431.92</v>
      </c>
    </row>
    <row r="89" spans="1:4" ht="15.75" x14ac:dyDescent="0.3">
      <c r="A89" s="6">
        <v>4</v>
      </c>
      <c r="B89" s="13" t="s">
        <v>51</v>
      </c>
      <c r="C89" s="15">
        <f>3413.75+23758.79</f>
        <v>27172.54</v>
      </c>
      <c r="D89" s="15">
        <f>3413.75+18096.48</f>
        <v>21510.23</v>
      </c>
    </row>
    <row r="90" spans="1:4" ht="15.75" x14ac:dyDescent="0.3">
      <c r="A90" s="6">
        <v>5</v>
      </c>
      <c r="B90" s="6" t="s">
        <v>34</v>
      </c>
      <c r="C90" s="15">
        <f>C91+C92+C93+C94+C95</f>
        <v>597324.08999999985</v>
      </c>
      <c r="D90" s="15">
        <f>D91+D92+D93+D94+D95</f>
        <v>524021.13</v>
      </c>
    </row>
    <row r="91" spans="1:4" x14ac:dyDescent="0.25">
      <c r="A91" s="17"/>
      <c r="B91" s="17" t="s">
        <v>65</v>
      </c>
      <c r="C91" s="18">
        <f>102581.72+264305.97</f>
        <v>366887.68999999994</v>
      </c>
      <c r="D91" s="18">
        <f>102581.72+227158.26</f>
        <v>329739.98</v>
      </c>
    </row>
    <row r="92" spans="1:4" x14ac:dyDescent="0.25">
      <c r="A92" s="17"/>
      <c r="B92" s="17" t="s">
        <v>66</v>
      </c>
      <c r="C92" s="18">
        <f>39840.23</f>
        <v>39840.230000000003</v>
      </c>
      <c r="D92" s="18">
        <v>31994.43</v>
      </c>
    </row>
    <row r="93" spans="1:4" x14ac:dyDescent="0.25">
      <c r="A93" s="17"/>
      <c r="B93" s="17" t="s">
        <v>67</v>
      </c>
      <c r="C93" s="18">
        <f>83031.14</f>
        <v>83031.14</v>
      </c>
      <c r="D93" s="18">
        <v>67684.56</v>
      </c>
    </row>
    <row r="94" spans="1:4" x14ac:dyDescent="0.25">
      <c r="A94" s="17"/>
      <c r="B94" s="17" t="s">
        <v>69</v>
      </c>
      <c r="C94" s="18">
        <f>8123.71+24332.26</f>
        <v>32455.969999999998</v>
      </c>
      <c r="D94" s="18">
        <f>8123.71+21076.07</f>
        <v>29199.78</v>
      </c>
    </row>
    <row r="95" spans="1:4" x14ac:dyDescent="0.25">
      <c r="A95" s="17"/>
      <c r="B95" s="17" t="s">
        <v>68</v>
      </c>
      <c r="C95" s="18">
        <v>75109.06</v>
      </c>
      <c r="D95" s="18">
        <v>65402.38</v>
      </c>
    </row>
    <row r="96" spans="1:4" ht="15.75" x14ac:dyDescent="0.3">
      <c r="A96" s="6"/>
      <c r="B96" s="9" t="s">
        <v>36</v>
      </c>
      <c r="C96" s="16">
        <f>C90+C88+C87+C86+C89</f>
        <v>998570.57999999984</v>
      </c>
      <c r="D96" s="16">
        <f>D90+D88+D87+D86+D89</f>
        <v>882554.47</v>
      </c>
    </row>
    <row r="97" spans="1:4" ht="15.75" x14ac:dyDescent="0.3">
      <c r="A97" s="6"/>
      <c r="B97" s="9" t="s">
        <v>37</v>
      </c>
      <c r="C97" s="73">
        <f>C96-D96</f>
        <v>116016.10999999987</v>
      </c>
      <c r="D97" s="74"/>
    </row>
    <row r="98" spans="1:4" x14ac:dyDescent="0.25">
      <c r="A98" s="3"/>
      <c r="B98" s="3"/>
      <c r="C98" s="11"/>
      <c r="D98" s="3"/>
    </row>
    <row r="99" spans="1:4" x14ac:dyDescent="0.25">
      <c r="A99" s="3"/>
      <c r="B99" s="8" t="s">
        <v>134</v>
      </c>
      <c r="C99" s="11"/>
      <c r="D99" s="3"/>
    </row>
    <row r="100" spans="1:4" x14ac:dyDescent="0.25">
      <c r="A100" s="3"/>
      <c r="B100" s="8"/>
      <c r="C100" s="11"/>
      <c r="D100" s="3"/>
    </row>
    <row r="101" spans="1:4" s="66" customFormat="1" ht="30" x14ac:dyDescent="0.3">
      <c r="A101" s="75" t="s">
        <v>38</v>
      </c>
      <c r="B101" s="76"/>
      <c r="C101" s="70" t="s">
        <v>71</v>
      </c>
      <c r="D101" s="9" t="s">
        <v>39</v>
      </c>
    </row>
    <row r="102" spans="1:4" ht="15.75" customHeight="1" x14ac:dyDescent="0.3">
      <c r="A102" s="77" t="s">
        <v>70</v>
      </c>
      <c r="B102" s="78"/>
      <c r="C102" s="12">
        <v>800</v>
      </c>
      <c r="D102" s="6">
        <v>800</v>
      </c>
    </row>
    <row r="103" spans="1:4" x14ac:dyDescent="0.25">
      <c r="A103" s="3"/>
      <c r="B103" s="3"/>
      <c r="C103" s="11"/>
      <c r="D103" s="3"/>
    </row>
    <row r="104" spans="1:4" x14ac:dyDescent="0.25">
      <c r="A104" s="3"/>
      <c r="B104" s="3"/>
      <c r="C104" s="11"/>
      <c r="D104" s="3"/>
    </row>
    <row r="105" spans="1:4" x14ac:dyDescent="0.25">
      <c r="A105" s="3"/>
      <c r="B105" s="3"/>
      <c r="C105" s="11"/>
      <c r="D105" s="3"/>
    </row>
    <row r="106" spans="1:4" x14ac:dyDescent="0.25">
      <c r="C106" s="61"/>
    </row>
  </sheetData>
  <mergeCells count="17">
    <mergeCell ref="B1:D1"/>
    <mergeCell ref="E6:E11"/>
    <mergeCell ref="B2:B3"/>
    <mergeCell ref="A2:A3"/>
    <mergeCell ref="E2:E5"/>
    <mergeCell ref="C2:C5"/>
    <mergeCell ref="D2:D5"/>
    <mergeCell ref="C7:D7"/>
    <mergeCell ref="C8:D8"/>
    <mergeCell ref="C9:D9"/>
    <mergeCell ref="C10:D10"/>
    <mergeCell ref="C11:D11"/>
    <mergeCell ref="B35:C35"/>
    <mergeCell ref="B26:C26"/>
    <mergeCell ref="C97:D97"/>
    <mergeCell ref="A101:B101"/>
    <mergeCell ref="A102:B102"/>
  </mergeCells>
  <pageMargins left="0" right="0" top="0.15748031496062992" bottom="0.15748031496062992" header="0" footer="0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D3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2016-08-29T09:42:44Z</dcterms:modified>
</cp:coreProperties>
</file>